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Beaufort\Distribution\"/>
    </mc:Choice>
  </mc:AlternateContent>
  <xr:revisionPtr revIDLastSave="0" documentId="13_ncr:1_{C4818B3B-A269-4FF9-8801-48E32C6D0B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bs Choice Calc" sheetId="4" r:id="rId1"/>
    <sheet name="LINK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4" l="1"/>
  <c r="L18" i="4" l="1"/>
  <c r="I40" i="4" l="1"/>
  <c r="I39" i="4"/>
  <c r="I38" i="4"/>
  <c r="J38" i="4" s="1"/>
  <c r="I43" i="4"/>
  <c r="J40" i="4"/>
  <c r="J39" i="4"/>
  <c r="J37" i="4"/>
  <c r="E38" i="4"/>
  <c r="E39" i="4"/>
  <c r="E40" i="4"/>
  <c r="H40" i="4" l="1"/>
  <c r="H39" i="4"/>
  <c r="H38" i="4"/>
  <c r="J42" i="4" l="1"/>
  <c r="I45" i="4" s="1"/>
  <c r="G39" i="4"/>
  <c r="G40" i="4"/>
  <c r="G37" i="4"/>
  <c r="G38" i="4"/>
  <c r="L14" i="4"/>
  <c r="L15" i="4"/>
  <c r="L16" i="4"/>
  <c r="L17" i="4"/>
  <c r="L19" i="4"/>
  <c r="L20" i="4"/>
  <c r="L21" i="4"/>
  <c r="L22" i="4"/>
  <c r="L23" i="4"/>
  <c r="L24" i="4"/>
  <c r="L26" i="4"/>
  <c r="L27" i="4"/>
  <c r="L28" i="4"/>
  <c r="L29" i="4"/>
  <c r="L30" i="4"/>
  <c r="L31" i="4"/>
  <c r="L32" i="4"/>
  <c r="L33" i="4"/>
  <c r="L13" i="4"/>
  <c r="J49" i="4" l="1"/>
  <c r="J48" i="4"/>
  <c r="J47" i="4"/>
  <c r="J46" i="4"/>
  <c r="I49" i="4"/>
  <c r="I48" i="4"/>
  <c r="I46" i="4"/>
  <c r="I47" i="4"/>
  <c r="M49" i="4"/>
  <c r="M46" i="4"/>
  <c r="M47" i="4"/>
  <c r="M48" i="4"/>
  <c r="L47" i="4"/>
  <c r="L46" i="4"/>
  <c r="L49" i="4"/>
  <c r="L48" i="4"/>
  <c r="K47" i="4"/>
  <c r="K49" i="4"/>
  <c r="K46" i="4"/>
  <c r="K48" i="4"/>
  <c r="M35" i="4"/>
  <c r="K37" i="4" s="1"/>
  <c r="M37" i="4" s="1"/>
  <c r="B43" i="4"/>
  <c r="B41" i="4"/>
  <c r="M50" i="4" l="1"/>
  <c r="I50" i="4"/>
  <c r="L50" i="4"/>
  <c r="K50" i="4"/>
  <c r="J50" i="4"/>
  <c r="K39" i="4"/>
  <c r="M39" i="4" s="1"/>
  <c r="K38" i="4"/>
  <c r="M38" i="4" s="1"/>
  <c r="K40" i="4"/>
  <c r="M40" i="4" s="1"/>
  <c r="M42" i="4" l="1"/>
  <c r="K42" i="4"/>
  <c r="H45" i="4"/>
  <c r="J43" i="4" l="1"/>
  <c r="M43" i="4" s="1"/>
  <c r="H50" i="4"/>
</calcChain>
</file>

<file path=xl/sharedStrings.xml><?xml version="1.0" encoding="utf-8"?>
<sst xmlns="http://schemas.openxmlformats.org/spreadsheetml/2006/main" count="184" uniqueCount="104">
  <si>
    <t>June</t>
  </si>
  <si>
    <t>July</t>
  </si>
  <si>
    <t>May</t>
  </si>
  <si>
    <t>August</t>
  </si>
  <si>
    <t>Ladies</t>
  </si>
  <si>
    <t>April</t>
  </si>
  <si>
    <t>Start Date</t>
  </si>
  <si>
    <t>Semi-Finals Date</t>
  </si>
  <si>
    <t>Finals Date</t>
  </si>
  <si>
    <t>Tournament Name</t>
  </si>
  <si>
    <t>Sex</t>
  </si>
  <si>
    <t>Handicap</t>
  </si>
  <si>
    <t>Type</t>
  </si>
  <si>
    <t>Umpire Fee</t>
  </si>
  <si>
    <t>The Badminton Cup - Sponsored by RJ Polo</t>
  </si>
  <si>
    <t>Mixed</t>
  </si>
  <si>
    <t>8-12 Goal</t>
  </si>
  <si>
    <t>Domestic</t>
  </si>
  <si>
    <t>N/A</t>
  </si>
  <si>
    <t>The Kernow Cup</t>
  </si>
  <si>
    <t>0-6 Goal</t>
  </si>
  <si>
    <t>The Justerini &amp; Brooks Arthur Lucas Cup VL</t>
  </si>
  <si>
    <t>12-15 Goal</t>
  </si>
  <si>
    <t>HPA</t>
  </si>
  <si>
    <t>The Henderson Rose Bowl</t>
  </si>
  <si>
    <t>-2-2 Goal</t>
  </si>
  <si>
    <t>The Non-Playing Members Babdown Cup</t>
  </si>
  <si>
    <t>0-10 Goal</t>
  </si>
  <si>
    <t>The Eduardo Rojas Lanusse Cup VL</t>
  </si>
  <si>
    <t>2-6 Goal</t>
  </si>
  <si>
    <t>Justerini &amp; Brooks Prince of Wales Cup VL</t>
  </si>
  <si>
    <t>The Richard Underwood Cup</t>
  </si>
  <si>
    <t>0-4 Goal</t>
  </si>
  <si>
    <t>The Novices Cup</t>
  </si>
  <si>
    <t>La Ema Polo Mallet</t>
  </si>
  <si>
    <t>4-8 Goal</t>
  </si>
  <si>
    <t>WIP Ladies 8 Goal</t>
  </si>
  <si>
    <t>8 Goal</t>
  </si>
  <si>
    <t>The Claire Tomlinson Trophy VL</t>
  </si>
  <si>
    <t>18 Goal</t>
  </si>
  <si>
    <t>The Bat Cup</t>
  </si>
  <si>
    <t>WIP Ladies 12 Goal</t>
  </si>
  <si>
    <t>12 Goal</t>
  </si>
  <si>
    <t>The Somerville Livingstone-Learmonth Trophy</t>
  </si>
  <si>
    <t>The Wichenford Bowl VL</t>
  </si>
  <si>
    <t>Chairmans Cup</t>
  </si>
  <si>
    <t>The Solitaire Salver</t>
  </si>
  <si>
    <t>The Sidebottom Cup</t>
  </si>
  <si>
    <t>Premium</t>
  </si>
  <si>
    <t>Professional</t>
  </si>
  <si>
    <t>Starter 18-25</t>
  </si>
  <si>
    <t>Student 18-25</t>
  </si>
  <si>
    <t>Junior 13-18</t>
  </si>
  <si>
    <t>Junior U13</t>
  </si>
  <si>
    <t>2nd Club</t>
  </si>
  <si>
    <t>Chukka</t>
  </si>
  <si>
    <t>Grooms Chukka</t>
  </si>
  <si>
    <t>Enter Yes / No</t>
  </si>
  <si>
    <t>Yes</t>
  </si>
  <si>
    <t>No</t>
  </si>
  <si>
    <t>March</t>
  </si>
  <si>
    <t>Entry Fees</t>
  </si>
  <si>
    <t>Individual</t>
  </si>
  <si>
    <t>Early Bird Discount:-</t>
  </si>
  <si>
    <t>Calculate For:-</t>
  </si>
  <si>
    <t>Non-Member</t>
  </si>
  <si>
    <t>Entry Fee Per Player</t>
  </si>
  <si>
    <t>Total Entry Fees Primary:-</t>
  </si>
  <si>
    <t>Full Team</t>
  </si>
  <si>
    <t>3/4 Team</t>
  </si>
  <si>
    <t>1/2 Team</t>
  </si>
  <si>
    <t>Subscription Choices</t>
  </si>
  <si>
    <t>Grand Total</t>
  </si>
  <si>
    <t>Add Players Subscriptions:-</t>
  </si>
  <si>
    <t>2nd player's subscription sponsored by the primary member</t>
  </si>
  <si>
    <t>2nd &amp; 3rd player's subscriptions sponsored by the primary member</t>
  </si>
  <si>
    <t>Any additional players responsible for their own subscriptions</t>
  </si>
  <si>
    <t>Subscription Fees by Month:-</t>
  </si>
  <si>
    <t>Family Discounts:-</t>
  </si>
  <si>
    <t>10% reduction of 3rd members subscription fee</t>
  </si>
  <si>
    <t>5% reduction of 2nd members subscription fee</t>
  </si>
  <si>
    <t>15% reduction of 4th members subscription fee</t>
  </si>
  <si>
    <t>VL</t>
  </si>
  <si>
    <t>All additional players membership sponsored by the primary member</t>
  </si>
  <si>
    <t>Subs</t>
  </si>
  <si>
    <t>Beaufort Polo Club - Cost Calculator for Subscriptions &amp; Tournament Entry Fees 2021</t>
  </si>
  <si>
    <t>Entry Fees by Month Primary:-</t>
  </si>
  <si>
    <t>Entry Fees by Month 2nd Player:-</t>
  </si>
  <si>
    <t>Entry Fees by Month 3rd Player:-</t>
  </si>
  <si>
    <t>Entry Fees by Month 4th Player:-</t>
  </si>
  <si>
    <t>Total</t>
  </si>
  <si>
    <t>Total:-</t>
  </si>
  <si>
    <t>Ponting Pot</t>
  </si>
  <si>
    <t>Ladies Nations Cup</t>
  </si>
  <si>
    <t>14-16 Goal</t>
  </si>
  <si>
    <t>Instructions for use:-</t>
  </si>
  <si>
    <t>2 - Always complete any highlighted GREEN cells.</t>
  </si>
  <si>
    <t>3 - Always clear text from any highlighted RED cells.</t>
  </si>
  <si>
    <t>4 - Select the tournaments you may wish to enter.</t>
  </si>
  <si>
    <t>5 - Select either individual or one of the team options.</t>
  </si>
  <si>
    <t>7 - For Team calculations use the various options for sponsoring any additional players if appropriate.</t>
  </si>
  <si>
    <t>8 - Take advantage of our early bird discount calculation on subscription payments.</t>
  </si>
  <si>
    <t>1 - The YELLOW indicate cells you can interact with.</t>
  </si>
  <si>
    <t>6 - Alter the subs to determine the most cost effective choice dependant on your selected tournaments.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</si>
</sst>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mmm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4" tint="0.59999389629810485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15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5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4" fontId="0" fillId="0" borderId="0" xfId="0" applyNumberFormat="1"/>
    <xf numFmtId="15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right" vertical="center"/>
    </xf>
    <xf numFmtId="9" fontId="0" fillId="0" borderId="0" xfId="0" applyNumberForma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49" fontId="7" fillId="0" borderId="0" xfId="1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5" fontId="1" fillId="0" borderId="0" xfId="0" applyNumberFormat="1" applyFont="1" applyAlignment="1">
      <alignment horizontal="left"/>
    </xf>
    <xf numFmtId="165" fontId="9" fillId="4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5" fontId="1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9" fontId="10" fillId="0" borderId="0" xfId="0" applyNumberFormat="1" applyFont="1" applyAlignment="1">
      <alignment horizontal="center"/>
    </xf>
    <xf numFmtId="164" fontId="1" fillId="4" borderId="0" xfId="0" applyNumberFormat="1" applyFont="1" applyFill="1"/>
    <xf numFmtId="0" fontId="3" fillId="3" borderId="0" xfId="0" applyFont="1" applyFill="1" applyAlignment="1">
      <alignment horizontal="right" vertical="center"/>
    </xf>
    <xf numFmtId="164" fontId="1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164" fontId="1" fillId="2" borderId="0" xfId="0" applyNumberFormat="1" applyFont="1" applyFill="1"/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12" fillId="4" borderId="1" xfId="0" applyNumberFormat="1" applyFont="1" applyFill="1" applyBorder="1"/>
    <xf numFmtId="164" fontId="12" fillId="0" borderId="2" xfId="0" applyNumberFormat="1" applyFont="1" applyBorder="1"/>
    <xf numFmtId="164" fontId="12" fillId="0" borderId="0" xfId="0" applyNumberFormat="1" applyFont="1" applyBorder="1"/>
    <xf numFmtId="164" fontId="13" fillId="0" borderId="0" xfId="0" applyNumberFormat="1" applyFont="1" applyAlignment="1">
      <alignment horizontal="right"/>
    </xf>
    <xf numFmtId="164" fontId="12" fillId="0" borderId="1" xfId="0" applyNumberFormat="1" applyFont="1" applyBorder="1"/>
    <xf numFmtId="0" fontId="1" fillId="0" borderId="0" xfId="0" applyFont="1" applyProtection="1">
      <protection locked="0"/>
    </xf>
    <xf numFmtId="15" fontId="1" fillId="5" borderId="3" xfId="0" applyNumberFormat="1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Protection="1">
      <protection locked="0"/>
    </xf>
    <xf numFmtId="164" fontId="1" fillId="5" borderId="3" xfId="0" applyNumberFormat="1" applyFont="1" applyFill="1" applyBorder="1" applyAlignment="1" applyProtection="1">
      <alignment horizontal="center" vertical="center"/>
      <protection locked="0"/>
    </xf>
    <xf numFmtId="15" fontId="14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9" fillId="4" borderId="0" xfId="0" applyNumberFormat="1" applyFont="1" applyFill="1" applyAlignment="1">
      <alignment horizontal="right" vertical="center"/>
    </xf>
    <xf numFmtId="15" fontId="1" fillId="5" borderId="4" xfId="0" applyNumberFormat="1" applyFont="1" applyFill="1" applyBorder="1" applyAlignment="1" applyProtection="1">
      <alignment horizontal="left"/>
      <protection locked="0"/>
    </xf>
    <xf numFmtId="15" fontId="1" fillId="5" borderId="2" xfId="0" applyNumberFormat="1" applyFont="1" applyFill="1" applyBorder="1" applyAlignment="1" applyProtection="1">
      <alignment horizontal="left"/>
      <protection locked="0"/>
    </xf>
    <xf numFmtId="15" fontId="1" fillId="5" borderId="5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2"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234462</xdr:colOff>
      <xdr:row>2</xdr:row>
      <xdr:rowOff>58614</xdr:rowOff>
    </xdr:from>
    <xdr:to>
      <xdr:col>12</xdr:col>
      <xdr:colOff>621469</xdr:colOff>
      <xdr:row>8</xdr:row>
      <xdr:rowOff>151248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2DCEE-4DAD-44B8-8D36-F3EB19A35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33289" y="359018"/>
          <a:ext cx="1676545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1C275-93D9-44A6-B7DE-6605ABF24B7C}">
  <sheetPr>
    <pageSetUpPr fitToPage="1"/>
  </sheetPr>
  <dimension ref="A1:N50"/>
  <sheetViews>
    <sheetView showGridLines="0" showZeros="0" tabSelected="1" zoomScale="130" zoomScaleNormal="130" workbookViewId="0">
      <selection activeCell="M14" sqref="M14"/>
    </sheetView>
  </sheetViews>
  <sheetFormatPr defaultRowHeight="15" x14ac:dyDescent="0.25"/>
  <cols>
    <col min="1" max="1" width="14.42578125" style="2" customWidth="1"/>
    <col min="2" max="2" width="10.5703125" style="2" customWidth="1"/>
    <col min="3" max="3" width="2.5703125" style="2" customWidth="1"/>
    <col min="4" max="4" width="12.85546875" style="2" customWidth="1"/>
    <col min="5" max="5" width="3.7109375" style="2" customWidth="1"/>
    <col min="6" max="6" width="39.42578125" customWidth="1"/>
    <col min="7" max="7" width="10.42578125" style="3" customWidth="1"/>
    <col min="8" max="8" width="9.7109375" style="4" customWidth="1"/>
    <col min="9" max="9" width="9.7109375" style="3" customWidth="1"/>
    <col min="10" max="10" width="9.7109375" style="5" customWidth="1"/>
    <col min="11" max="13" width="9.7109375" customWidth="1"/>
  </cols>
  <sheetData>
    <row r="1" spans="1:13" ht="15.75" x14ac:dyDescent="0.25">
      <c r="A1" s="83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8.25" customHeight="1" x14ac:dyDescent="0.25"/>
    <row r="3" spans="1:13" ht="12" customHeight="1" x14ac:dyDescent="0.25">
      <c r="A3" s="76" t="s">
        <v>95</v>
      </c>
      <c r="B3" s="21"/>
    </row>
    <row r="4" spans="1:13" ht="4.5" customHeight="1" x14ac:dyDescent="0.25">
      <c r="A4" s="21"/>
      <c r="B4" s="21"/>
    </row>
    <row r="5" spans="1:13" ht="12" customHeight="1" x14ac:dyDescent="0.25">
      <c r="A5" s="43" t="s">
        <v>102</v>
      </c>
      <c r="F5" s="43" t="s">
        <v>99</v>
      </c>
      <c r="G5" s="39"/>
    </row>
    <row r="6" spans="1:13" ht="12" customHeight="1" x14ac:dyDescent="0.25">
      <c r="A6" s="43" t="s">
        <v>96</v>
      </c>
      <c r="F6" s="43" t="s">
        <v>103</v>
      </c>
      <c r="G6" s="42"/>
    </row>
    <row r="7" spans="1:13" ht="12" customHeight="1" x14ac:dyDescent="0.25">
      <c r="A7" s="43" t="s">
        <v>97</v>
      </c>
      <c r="F7" s="43" t="s">
        <v>100</v>
      </c>
      <c r="G7" s="39"/>
    </row>
    <row r="8" spans="1:13" ht="12" customHeight="1" x14ac:dyDescent="0.25">
      <c r="A8" s="43" t="s">
        <v>98</v>
      </c>
      <c r="F8" s="43" t="s">
        <v>101</v>
      </c>
      <c r="G8" s="39"/>
    </row>
    <row r="9" spans="1:13" ht="12" customHeight="1" x14ac:dyDescent="0.25"/>
    <row r="10" spans="1:13" ht="12" customHeight="1" x14ac:dyDescent="0.25"/>
    <row r="11" spans="1:13" ht="6" customHeight="1" x14ac:dyDescent="0.25"/>
    <row r="12" spans="1:13" s="3" customFormat="1" ht="39" customHeight="1" x14ac:dyDescent="0.25">
      <c r="A12" s="7" t="s">
        <v>6</v>
      </c>
      <c r="B12" s="7" t="s">
        <v>7</v>
      </c>
      <c r="C12" s="7"/>
      <c r="D12" s="7" t="s">
        <v>8</v>
      </c>
      <c r="E12" s="7"/>
      <c r="F12" s="6" t="s">
        <v>9</v>
      </c>
      <c r="G12" s="6" t="s">
        <v>10</v>
      </c>
      <c r="H12" s="8" t="s">
        <v>11</v>
      </c>
      <c r="I12" s="6" t="s">
        <v>12</v>
      </c>
      <c r="J12" s="9" t="s">
        <v>66</v>
      </c>
      <c r="K12" s="9" t="s">
        <v>13</v>
      </c>
      <c r="L12" s="7"/>
      <c r="M12" s="7" t="s">
        <v>57</v>
      </c>
    </row>
    <row r="13" spans="1:13" ht="15.95" customHeight="1" x14ac:dyDescent="0.25">
      <c r="A13" s="10">
        <v>44308</v>
      </c>
      <c r="B13" s="10">
        <v>44323</v>
      </c>
      <c r="C13" s="10"/>
      <c r="D13" s="10">
        <v>44325</v>
      </c>
      <c r="E13" s="45"/>
      <c r="F13" s="11" t="s">
        <v>14</v>
      </c>
      <c r="G13" s="12" t="s">
        <v>15</v>
      </c>
      <c r="H13" s="13" t="s">
        <v>35</v>
      </c>
      <c r="I13" s="12" t="s">
        <v>17</v>
      </c>
      <c r="J13" s="14">
        <v>430</v>
      </c>
      <c r="K13" s="14" t="s">
        <v>18</v>
      </c>
      <c r="L13" s="77" t="str">
        <f t="shared" ref="L13:L33" si="0">IFERROR(IF(M13="Yes",J13,""),0)</f>
        <v/>
      </c>
      <c r="M13" s="75"/>
    </row>
    <row r="14" spans="1:13" ht="15.95" customHeight="1" x14ac:dyDescent="0.25">
      <c r="A14" s="15">
        <v>44320</v>
      </c>
      <c r="B14" s="15">
        <v>44329</v>
      </c>
      <c r="C14" s="15"/>
      <c r="D14" s="15">
        <v>44331</v>
      </c>
      <c r="E14" s="44"/>
      <c r="F14" s="16" t="s">
        <v>19</v>
      </c>
      <c r="G14" s="17" t="s">
        <v>15</v>
      </c>
      <c r="H14" s="18" t="s">
        <v>20</v>
      </c>
      <c r="I14" s="17" t="s">
        <v>17</v>
      </c>
      <c r="J14" s="19">
        <v>380</v>
      </c>
      <c r="K14" s="19" t="s">
        <v>18</v>
      </c>
      <c r="L14" s="79" t="str">
        <f t="shared" si="0"/>
        <v/>
      </c>
      <c r="M14" s="75"/>
    </row>
    <row r="15" spans="1:13" ht="15.95" customHeight="1" x14ac:dyDescent="0.25">
      <c r="A15" s="10">
        <v>44334</v>
      </c>
      <c r="B15" s="10">
        <v>44343</v>
      </c>
      <c r="C15" s="10"/>
      <c r="D15" s="10">
        <v>44345</v>
      </c>
      <c r="E15" s="45"/>
      <c r="F15" s="11" t="s">
        <v>21</v>
      </c>
      <c r="G15" s="12" t="s">
        <v>15</v>
      </c>
      <c r="H15" s="13" t="s">
        <v>22</v>
      </c>
      <c r="I15" s="12" t="s">
        <v>82</v>
      </c>
      <c r="J15" s="14">
        <v>700</v>
      </c>
      <c r="K15" s="14" t="s">
        <v>23</v>
      </c>
      <c r="L15" s="77" t="str">
        <f t="shared" si="0"/>
        <v/>
      </c>
      <c r="M15" s="75"/>
    </row>
    <row r="16" spans="1:13" ht="15.95" customHeight="1" x14ac:dyDescent="0.25">
      <c r="A16" s="15">
        <v>44341</v>
      </c>
      <c r="B16" s="15">
        <v>44350</v>
      </c>
      <c r="C16" s="15"/>
      <c r="D16" s="15">
        <v>44352</v>
      </c>
      <c r="E16" s="44"/>
      <c r="F16" s="16" t="s">
        <v>24</v>
      </c>
      <c r="G16" s="17" t="s">
        <v>15</v>
      </c>
      <c r="H16" s="18" t="s">
        <v>25</v>
      </c>
      <c r="I16" s="17" t="s">
        <v>17</v>
      </c>
      <c r="J16" s="19">
        <v>250</v>
      </c>
      <c r="K16" s="19" t="s">
        <v>18</v>
      </c>
      <c r="L16" s="79" t="str">
        <f t="shared" si="0"/>
        <v/>
      </c>
      <c r="M16" s="75"/>
    </row>
    <row r="17" spans="1:13" ht="15.95" customHeight="1" x14ac:dyDescent="0.25">
      <c r="A17" s="10">
        <v>44341</v>
      </c>
      <c r="B17" s="10">
        <v>44351</v>
      </c>
      <c r="C17" s="10"/>
      <c r="D17" s="10">
        <v>44353</v>
      </c>
      <c r="E17" s="45"/>
      <c r="F17" s="11" t="s">
        <v>26</v>
      </c>
      <c r="G17" s="12" t="s">
        <v>15</v>
      </c>
      <c r="H17" s="13" t="s">
        <v>27</v>
      </c>
      <c r="I17" s="12" t="s">
        <v>17</v>
      </c>
      <c r="J17" s="14">
        <v>450</v>
      </c>
      <c r="K17" s="14" t="s">
        <v>18</v>
      </c>
      <c r="L17" s="77" t="str">
        <f t="shared" si="0"/>
        <v/>
      </c>
      <c r="M17" s="75"/>
    </row>
    <row r="18" spans="1:13" ht="15.95" customHeight="1" x14ac:dyDescent="0.25">
      <c r="A18" s="15">
        <v>44345</v>
      </c>
      <c r="B18" s="15"/>
      <c r="C18" s="15"/>
      <c r="D18" s="15">
        <v>44347</v>
      </c>
      <c r="E18" s="44"/>
      <c r="F18" s="16" t="s">
        <v>93</v>
      </c>
      <c r="G18" s="17" t="s">
        <v>4</v>
      </c>
      <c r="H18" s="18" t="s">
        <v>94</v>
      </c>
      <c r="I18" s="17" t="s">
        <v>17</v>
      </c>
      <c r="J18" s="19">
        <v>400</v>
      </c>
      <c r="K18" s="19" t="s">
        <v>18</v>
      </c>
      <c r="L18" s="79" t="str">
        <f t="shared" si="0"/>
        <v/>
      </c>
      <c r="M18" s="75"/>
    </row>
    <row r="19" spans="1:13" ht="15.95" customHeight="1" x14ac:dyDescent="0.25">
      <c r="A19" s="10">
        <v>44348</v>
      </c>
      <c r="B19" s="10">
        <v>44357</v>
      </c>
      <c r="C19" s="10"/>
      <c r="D19" s="10">
        <v>44359</v>
      </c>
      <c r="E19" s="45"/>
      <c r="F19" s="11" t="s">
        <v>28</v>
      </c>
      <c r="G19" s="12" t="s">
        <v>15</v>
      </c>
      <c r="H19" s="13" t="s">
        <v>29</v>
      </c>
      <c r="I19" s="12" t="s">
        <v>82</v>
      </c>
      <c r="J19" s="14">
        <v>400</v>
      </c>
      <c r="K19" s="14" t="s">
        <v>23</v>
      </c>
      <c r="L19" s="77" t="str">
        <f t="shared" si="0"/>
        <v/>
      </c>
      <c r="M19" s="75"/>
    </row>
    <row r="20" spans="1:13" ht="15.95" customHeight="1" x14ac:dyDescent="0.25">
      <c r="A20" s="15">
        <v>44362</v>
      </c>
      <c r="B20" s="15">
        <v>44371</v>
      </c>
      <c r="C20" s="15"/>
      <c r="D20" s="15">
        <v>44373</v>
      </c>
      <c r="E20" s="44"/>
      <c r="F20" s="16" t="s">
        <v>30</v>
      </c>
      <c r="G20" s="17" t="s">
        <v>15</v>
      </c>
      <c r="H20" s="18" t="s">
        <v>16</v>
      </c>
      <c r="I20" s="17" t="s">
        <v>82</v>
      </c>
      <c r="J20" s="19">
        <v>650</v>
      </c>
      <c r="K20" s="19" t="s">
        <v>23</v>
      </c>
      <c r="L20" s="79" t="str">
        <f t="shared" si="0"/>
        <v/>
      </c>
      <c r="M20" s="75"/>
    </row>
    <row r="21" spans="1:13" ht="15.95" customHeight="1" x14ac:dyDescent="0.25">
      <c r="A21" s="10">
        <v>44362</v>
      </c>
      <c r="B21" s="10">
        <v>44372</v>
      </c>
      <c r="C21" s="10"/>
      <c r="D21" s="10">
        <v>44374</v>
      </c>
      <c r="E21" s="45"/>
      <c r="F21" s="11" t="s">
        <v>31</v>
      </c>
      <c r="G21" s="12" t="s">
        <v>15</v>
      </c>
      <c r="H21" s="13" t="s">
        <v>32</v>
      </c>
      <c r="I21" s="12" t="s">
        <v>17</v>
      </c>
      <c r="J21" s="14">
        <v>300</v>
      </c>
      <c r="K21" s="14" t="s">
        <v>18</v>
      </c>
      <c r="L21" s="77" t="str">
        <f t="shared" si="0"/>
        <v/>
      </c>
      <c r="M21" s="75"/>
    </row>
    <row r="22" spans="1:13" ht="15.95" customHeight="1" x14ac:dyDescent="0.25">
      <c r="A22" s="15">
        <v>44376</v>
      </c>
      <c r="B22" s="15">
        <v>44385</v>
      </c>
      <c r="C22" s="15"/>
      <c r="D22" s="15">
        <v>44387</v>
      </c>
      <c r="E22" s="44"/>
      <c r="F22" s="16" t="s">
        <v>33</v>
      </c>
      <c r="G22" s="17" t="s">
        <v>15</v>
      </c>
      <c r="H22" s="18" t="s">
        <v>25</v>
      </c>
      <c r="I22" s="17" t="s">
        <v>17</v>
      </c>
      <c r="J22" s="19">
        <v>250</v>
      </c>
      <c r="K22" s="19" t="s">
        <v>18</v>
      </c>
      <c r="L22" s="79" t="str">
        <f t="shared" si="0"/>
        <v/>
      </c>
      <c r="M22" s="75"/>
    </row>
    <row r="23" spans="1:13" ht="15.95" customHeight="1" x14ac:dyDescent="0.25">
      <c r="A23" s="10">
        <v>44383</v>
      </c>
      <c r="B23" s="10">
        <v>44399</v>
      </c>
      <c r="C23" s="10"/>
      <c r="D23" s="10">
        <v>44401</v>
      </c>
      <c r="E23" s="45"/>
      <c r="F23" s="11" t="s">
        <v>34</v>
      </c>
      <c r="G23" s="12" t="s">
        <v>15</v>
      </c>
      <c r="H23" s="13" t="s">
        <v>35</v>
      </c>
      <c r="I23" s="12" t="s">
        <v>17</v>
      </c>
      <c r="J23" s="14">
        <v>430</v>
      </c>
      <c r="K23" s="14" t="s">
        <v>18</v>
      </c>
      <c r="L23" s="77" t="str">
        <f t="shared" si="0"/>
        <v/>
      </c>
      <c r="M23" s="75"/>
    </row>
    <row r="24" spans="1:13" ht="15.95" customHeight="1" x14ac:dyDescent="0.25">
      <c r="A24" s="15">
        <v>44387</v>
      </c>
      <c r="B24" s="15">
        <v>44393</v>
      </c>
      <c r="C24" s="15"/>
      <c r="D24" s="15">
        <v>44395</v>
      </c>
      <c r="E24" s="44"/>
      <c r="F24" s="16" t="s">
        <v>36</v>
      </c>
      <c r="G24" s="17" t="s">
        <v>4</v>
      </c>
      <c r="H24" s="18" t="s">
        <v>37</v>
      </c>
      <c r="I24" s="17" t="s">
        <v>17</v>
      </c>
      <c r="J24" s="19">
        <v>250</v>
      </c>
      <c r="K24" s="19" t="s">
        <v>18</v>
      </c>
      <c r="L24" s="79" t="str">
        <f t="shared" si="0"/>
        <v/>
      </c>
      <c r="M24" s="75"/>
    </row>
    <row r="25" spans="1:13" ht="15.95" customHeight="1" x14ac:dyDescent="0.25">
      <c r="A25" s="10">
        <v>44390</v>
      </c>
      <c r="B25" s="10">
        <v>44400</v>
      </c>
      <c r="C25" s="10"/>
      <c r="D25" s="10">
        <v>44402</v>
      </c>
      <c r="E25" s="45"/>
      <c r="F25" s="11" t="s">
        <v>92</v>
      </c>
      <c r="G25" s="12" t="s">
        <v>15</v>
      </c>
      <c r="H25" s="13" t="s">
        <v>32</v>
      </c>
      <c r="I25" s="12" t="s">
        <v>17</v>
      </c>
      <c r="J25" s="14">
        <v>300</v>
      </c>
      <c r="K25" s="14" t="s">
        <v>18</v>
      </c>
      <c r="L25" s="77" t="str">
        <f t="shared" si="0"/>
        <v/>
      </c>
      <c r="M25" s="75"/>
    </row>
    <row r="26" spans="1:13" ht="15.95" customHeight="1" x14ac:dyDescent="0.25">
      <c r="A26" s="15">
        <v>44404</v>
      </c>
      <c r="B26" s="15">
        <v>44413</v>
      </c>
      <c r="C26" s="15"/>
      <c r="D26" s="15">
        <v>44415</v>
      </c>
      <c r="E26" s="44"/>
      <c r="F26" s="16" t="s">
        <v>38</v>
      </c>
      <c r="G26" s="17" t="s">
        <v>4</v>
      </c>
      <c r="H26" s="18" t="s">
        <v>39</v>
      </c>
      <c r="I26" s="17" t="s">
        <v>82</v>
      </c>
      <c r="J26" s="19">
        <v>400</v>
      </c>
      <c r="K26" s="19" t="s">
        <v>23</v>
      </c>
      <c r="L26" s="79" t="str">
        <f t="shared" si="0"/>
        <v/>
      </c>
      <c r="M26" s="75"/>
    </row>
    <row r="27" spans="1:13" ht="15.95" customHeight="1" x14ac:dyDescent="0.25">
      <c r="A27" s="10">
        <v>44411</v>
      </c>
      <c r="B27" s="10">
        <v>44421</v>
      </c>
      <c r="C27" s="10"/>
      <c r="D27" s="10">
        <v>44423</v>
      </c>
      <c r="E27" s="45"/>
      <c r="F27" s="11" t="s">
        <v>40</v>
      </c>
      <c r="G27" s="12" t="s">
        <v>15</v>
      </c>
      <c r="H27" s="13" t="s">
        <v>25</v>
      </c>
      <c r="I27" s="12" t="s">
        <v>17</v>
      </c>
      <c r="J27" s="14">
        <v>250</v>
      </c>
      <c r="K27" s="14" t="s">
        <v>18</v>
      </c>
      <c r="L27" s="77" t="str">
        <f t="shared" si="0"/>
        <v/>
      </c>
      <c r="M27" s="75"/>
    </row>
    <row r="28" spans="1:13" ht="15.95" customHeight="1" x14ac:dyDescent="0.25">
      <c r="A28" s="15">
        <v>44414</v>
      </c>
      <c r="B28" s="15">
        <v>44428</v>
      </c>
      <c r="C28" s="15"/>
      <c r="D28" s="15">
        <v>44430</v>
      </c>
      <c r="E28" s="44"/>
      <c r="F28" s="16" t="s">
        <v>43</v>
      </c>
      <c r="G28" s="17" t="s">
        <v>15</v>
      </c>
      <c r="H28" s="18" t="s">
        <v>20</v>
      </c>
      <c r="I28" s="17" t="s">
        <v>17</v>
      </c>
      <c r="J28" s="19">
        <v>380</v>
      </c>
      <c r="K28" s="19" t="s">
        <v>18</v>
      </c>
      <c r="L28" s="79" t="str">
        <f t="shared" si="0"/>
        <v/>
      </c>
      <c r="M28" s="75"/>
    </row>
    <row r="29" spans="1:13" ht="15.95" customHeight="1" x14ac:dyDescent="0.25">
      <c r="A29" s="10">
        <v>44418</v>
      </c>
      <c r="B29" s="10">
        <v>44427</v>
      </c>
      <c r="C29" s="10"/>
      <c r="D29" s="10">
        <v>44429</v>
      </c>
      <c r="E29" s="45"/>
      <c r="F29" s="11" t="s">
        <v>41</v>
      </c>
      <c r="G29" s="12" t="s">
        <v>4</v>
      </c>
      <c r="H29" s="13" t="s">
        <v>42</v>
      </c>
      <c r="I29" s="12" t="s">
        <v>17</v>
      </c>
      <c r="J29" s="14">
        <v>270</v>
      </c>
      <c r="K29" s="14" t="s">
        <v>18</v>
      </c>
      <c r="L29" s="77" t="str">
        <f t="shared" si="0"/>
        <v/>
      </c>
      <c r="M29" s="75"/>
    </row>
    <row r="30" spans="1:13" ht="15.95" customHeight="1" x14ac:dyDescent="0.25">
      <c r="A30" s="15">
        <v>44418</v>
      </c>
      <c r="B30" s="15">
        <v>44428</v>
      </c>
      <c r="C30" s="15"/>
      <c r="D30" s="15">
        <v>44430</v>
      </c>
      <c r="E30" s="44"/>
      <c r="F30" s="16" t="s">
        <v>44</v>
      </c>
      <c r="G30" s="17" t="s">
        <v>15</v>
      </c>
      <c r="H30" s="18" t="s">
        <v>35</v>
      </c>
      <c r="I30" s="17" t="s">
        <v>82</v>
      </c>
      <c r="J30" s="19">
        <v>500</v>
      </c>
      <c r="K30" s="19" t="s">
        <v>23</v>
      </c>
      <c r="L30" s="79" t="str">
        <f t="shared" si="0"/>
        <v/>
      </c>
      <c r="M30" s="75"/>
    </row>
    <row r="31" spans="1:13" ht="15.95" customHeight="1" x14ac:dyDescent="0.25">
      <c r="A31" s="10">
        <v>44418</v>
      </c>
      <c r="B31" s="10">
        <v>44435</v>
      </c>
      <c r="C31" s="10"/>
      <c r="D31" s="10">
        <v>44437</v>
      </c>
      <c r="E31" s="45"/>
      <c r="F31" s="11" t="s">
        <v>45</v>
      </c>
      <c r="G31" s="12" t="s">
        <v>15</v>
      </c>
      <c r="H31" s="13" t="s">
        <v>27</v>
      </c>
      <c r="I31" s="12" t="s">
        <v>17</v>
      </c>
      <c r="J31" s="14">
        <v>450</v>
      </c>
      <c r="K31" s="14" t="s">
        <v>18</v>
      </c>
      <c r="L31" s="77" t="str">
        <f t="shared" si="0"/>
        <v/>
      </c>
      <c r="M31" s="75"/>
    </row>
    <row r="32" spans="1:13" ht="15.95" customHeight="1" x14ac:dyDescent="0.25">
      <c r="A32" s="15">
        <v>44432</v>
      </c>
      <c r="B32" s="15">
        <v>44441</v>
      </c>
      <c r="C32" s="15"/>
      <c r="D32" s="15">
        <v>44443</v>
      </c>
      <c r="E32" s="44"/>
      <c r="F32" s="16" t="s">
        <v>46</v>
      </c>
      <c r="G32" s="17" t="s">
        <v>15</v>
      </c>
      <c r="H32" s="18" t="s">
        <v>32</v>
      </c>
      <c r="I32" s="17" t="s">
        <v>17</v>
      </c>
      <c r="J32" s="19">
        <v>300</v>
      </c>
      <c r="K32" s="19" t="s">
        <v>18</v>
      </c>
      <c r="L32" s="79" t="str">
        <f t="shared" si="0"/>
        <v/>
      </c>
      <c r="M32" s="75"/>
    </row>
    <row r="33" spans="1:14" ht="15.95" customHeight="1" x14ac:dyDescent="0.25">
      <c r="A33" s="48">
        <v>44439</v>
      </c>
      <c r="B33" s="48">
        <v>44448</v>
      </c>
      <c r="C33" s="48"/>
      <c r="D33" s="48">
        <v>44450</v>
      </c>
      <c r="E33" s="49"/>
      <c r="F33" s="50" t="s">
        <v>47</v>
      </c>
      <c r="G33" s="51" t="s">
        <v>15</v>
      </c>
      <c r="H33" s="52" t="s">
        <v>20</v>
      </c>
      <c r="I33" s="51" t="s">
        <v>17</v>
      </c>
      <c r="J33" s="53">
        <v>380</v>
      </c>
      <c r="K33" s="53" t="s">
        <v>18</v>
      </c>
      <c r="L33" s="78" t="str">
        <f t="shared" si="0"/>
        <v/>
      </c>
      <c r="M33" s="75"/>
    </row>
    <row r="34" spans="1:14" ht="4.5" customHeight="1" x14ac:dyDescent="0.25">
      <c r="A34" s="23"/>
      <c r="B34" s="23"/>
      <c r="C34" s="23"/>
      <c r="D34" s="23"/>
      <c r="E34" s="10"/>
      <c r="F34" s="24"/>
      <c r="G34" s="25"/>
      <c r="H34" s="26"/>
      <c r="I34" s="25"/>
      <c r="J34" s="27"/>
      <c r="K34" s="27"/>
      <c r="L34" s="23"/>
      <c r="M34" s="28"/>
    </row>
    <row r="35" spans="1:14" ht="5.25" customHeight="1" x14ac:dyDescent="0.25">
      <c r="A35" s="30"/>
      <c r="B35" s="10"/>
      <c r="C35" s="10"/>
      <c r="D35" s="10"/>
      <c r="E35" s="10"/>
      <c r="F35" s="11"/>
      <c r="G35" s="31"/>
      <c r="H35" s="32"/>
      <c r="I35" s="12"/>
      <c r="J35" s="14"/>
      <c r="K35" s="1"/>
      <c r="L35" s="61" t="s">
        <v>67</v>
      </c>
      <c r="M35" s="62">
        <f>SUM(L13:L33)</f>
        <v>0</v>
      </c>
    </row>
    <row r="36" spans="1:14" ht="17.25" customHeight="1" x14ac:dyDescent="0.25">
      <c r="A36" s="21"/>
      <c r="B36" s="22"/>
      <c r="C36" s="22"/>
      <c r="D36" s="21"/>
      <c r="E36" s="21"/>
      <c r="F36" s="59" t="s">
        <v>71</v>
      </c>
      <c r="G36" s="36"/>
      <c r="H36" s="37"/>
      <c r="I36" s="35"/>
      <c r="J36" s="56" t="s">
        <v>84</v>
      </c>
      <c r="K36" s="56" t="s">
        <v>61</v>
      </c>
      <c r="L36" s="56"/>
      <c r="M36" s="56" t="s">
        <v>90</v>
      </c>
    </row>
    <row r="37" spans="1:14" x14ac:dyDescent="0.25">
      <c r="A37" s="21"/>
      <c r="B37" s="39" t="s">
        <v>64</v>
      </c>
      <c r="C37" s="21"/>
      <c r="D37" s="73"/>
      <c r="E37" s="40"/>
      <c r="F37" s="74"/>
      <c r="G37" s="46" t="str">
        <f>IFERROR(VLOOKUP(F37,LINK!C:E,3,FALSE),"")</f>
        <v/>
      </c>
      <c r="H37"/>
      <c r="I37" s="54">
        <v>1</v>
      </c>
      <c r="J37" s="41">
        <f>IFERROR(VLOOKUP(F37,LINK!C:D,2,FALSE),0)*I37</f>
        <v>0</v>
      </c>
      <c r="K37" s="41">
        <f>IF(G37="Yes",$M$35*50%,$M$35)</f>
        <v>0</v>
      </c>
      <c r="L37" s="38"/>
      <c r="M37" s="41">
        <f>IFERROR(SUM(J37:L37),"")</f>
        <v>0</v>
      </c>
    </row>
    <row r="38" spans="1:14" x14ac:dyDescent="0.25">
      <c r="A38" s="21"/>
      <c r="B38" s="39"/>
      <c r="C38" s="22"/>
      <c r="D38" s="21"/>
      <c r="E38" s="42" t="str">
        <f>IF($D$37="","",IF($D$37="Full Team","2nd Player",IF($D$37&lt;&gt;"Individual","2nd Player","")))</f>
        <v/>
      </c>
      <c r="F38" s="72"/>
      <c r="G38" s="46" t="str">
        <f>IFERROR(VLOOKUP(F38,LINK!C:E,3,FALSE),"")</f>
        <v/>
      </c>
      <c r="H38" s="47">
        <f>IF($D$42="Any additional players responsible for their own subscriptions",1,"")</f>
        <v>1</v>
      </c>
      <c r="I38" s="54">
        <f>IF($D$42="Any additional players responsible for their own subscriptions",0%,IF($D$42="All additional players membership sponsored by the primary member",95%,IF($D$42="2nd player's subscription sponsored by the primary member",95%,IF($D$42="2nd &amp; 3rd player's subscriptions sponsored by the primary member",95%,100%))))</f>
        <v>0</v>
      </c>
      <c r="J38" s="57">
        <f>IFERROR(VLOOKUP(F38,LINK!C:D,2,FALSE),0)*I38</f>
        <v>0</v>
      </c>
      <c r="K38" s="57" t="str">
        <f>IF(E38&lt;&gt;"",IF(G38="Yes",$M$35*50%,$M$35),"")</f>
        <v/>
      </c>
      <c r="L38" s="58"/>
      <c r="M38" s="57" t="str">
        <f>IF(E38="","",(SUM(J38:L38)))</f>
        <v/>
      </c>
    </row>
    <row r="39" spans="1:14" x14ac:dyDescent="0.25">
      <c r="A39" s="21"/>
      <c r="B39" s="21"/>
      <c r="C39" s="21"/>
      <c r="D39" s="21"/>
      <c r="E39" s="42" t="str">
        <f>IF($D$37="Full Team","3rd Player",IF($D$37="3/4 Team","3rd Player",""))</f>
        <v/>
      </c>
      <c r="F39" s="72"/>
      <c r="G39" s="46" t="str">
        <f>IFERROR(VLOOKUP(F39,LINK!C:E,3,FALSE),"")</f>
        <v/>
      </c>
      <c r="H39" s="47">
        <f>IF($D$42="Any additional players responsible for their own subscriptions",1,IF($D$42="2nd player's subscription sponsored by the primary member",1,""))</f>
        <v>1</v>
      </c>
      <c r="I39" s="54">
        <f>IF($D$42="Any additional players responsible for their own subscriptions",0%,IF($D$42="2nd player's subscription sponsored by the primary member",0%,IF($D$42="All additional players membership sponsored by the primary member",95%,IF($D$42="2nd &amp; 3rd player's subscriptions sponsored by the primary member",95%,100%))))</f>
        <v>0</v>
      </c>
      <c r="J39" s="63">
        <f>IFERROR(VLOOKUP(F39,LINK!C:D,2,FALSE),0)*I39</f>
        <v>0</v>
      </c>
      <c r="K39" s="63" t="str">
        <f>IF(E39&lt;&gt;"",IF(G39="Yes",$M$35*50%,$M$35),"")</f>
        <v/>
      </c>
      <c r="L39" s="64"/>
      <c r="M39" s="63" t="str">
        <f>IF(E39="","",(SUM(J39:L39)))</f>
        <v/>
      </c>
    </row>
    <row r="40" spans="1:14" x14ac:dyDescent="0.25">
      <c r="A40" s="21"/>
      <c r="B40" s="21"/>
      <c r="C40" s="21"/>
      <c r="D40" s="21"/>
      <c r="E40" s="42" t="str">
        <f>IF($D$37="Full Team","4th Player","")</f>
        <v/>
      </c>
      <c r="F40" s="72"/>
      <c r="G40" s="46" t="str">
        <f>IFERROR(VLOOKUP(F40,LINK!C:E,3,FALSE),"")</f>
        <v/>
      </c>
      <c r="H40" s="47">
        <f>IF($D$42="Any additional players responsible for their own subscriptions",1,IF($D$42="2nd player's subscription sponsored by the primary member",1,IF($D$42="2nd &amp; 3rd player's subscriptions sponsored by the primary member",1,"")))</f>
        <v>1</v>
      </c>
      <c r="I40" s="54">
        <f>IF($D$42="Any additional players responsible for their own subscriptions",0%,IF($D$42="2nd player's subscription sponsored by the primary member",0%,IF($D$42="2nd &amp; 3rd player's subscriptions sponsored by the primary member",0%,IF($D$42="All additional players membership sponsored by the primary member",95%,100%))))</f>
        <v>0</v>
      </c>
      <c r="J40" s="57">
        <f>IFERROR(VLOOKUP(F40,LINK!C:D,2,FALSE),)*I40</f>
        <v>0</v>
      </c>
      <c r="K40" s="57" t="str">
        <f>IF(E40&lt;&gt;"",IF(G40="Yes",$M$35*50%,$M$35),"")</f>
        <v/>
      </c>
      <c r="L40" s="58"/>
      <c r="M40" s="57" t="str">
        <f>IF(E40="","",(SUM(J40:L40)))</f>
        <v/>
      </c>
    </row>
    <row r="41" spans="1:14" x14ac:dyDescent="0.25">
      <c r="A41" s="21"/>
      <c r="B41" s="39" t="str">
        <f>IF(D37="Team","Ratio M/N:-","")</f>
        <v/>
      </c>
      <c r="C41" s="39"/>
      <c r="D41" s="21"/>
      <c r="E41" s="40"/>
      <c r="F41" s="1"/>
      <c r="G41" s="33"/>
      <c r="H41"/>
      <c r="J41" s="56" t="s">
        <v>84</v>
      </c>
      <c r="K41" s="56" t="s">
        <v>61</v>
      </c>
      <c r="L41" s="56"/>
      <c r="M41" s="56" t="s">
        <v>72</v>
      </c>
    </row>
    <row r="42" spans="1:14" x14ac:dyDescent="0.25">
      <c r="A42" s="21"/>
      <c r="B42" s="39" t="s">
        <v>73</v>
      </c>
      <c r="C42" s="21"/>
      <c r="D42" s="80" t="s">
        <v>76</v>
      </c>
      <c r="E42" s="81"/>
      <c r="F42" s="82"/>
      <c r="G42" s="33"/>
      <c r="J42" s="68">
        <f>SUM(J37:J40)</f>
        <v>0</v>
      </c>
      <c r="K42" s="68">
        <f>SUM(K37:K40)</f>
        <v>0</v>
      </c>
      <c r="L42" s="65"/>
      <c r="M42" s="71">
        <f>IF(D44="Yes",0,SUM(M37:M40))</f>
        <v>0</v>
      </c>
    </row>
    <row r="43" spans="1:14" x14ac:dyDescent="0.25">
      <c r="A43" s="21"/>
      <c r="B43" s="39" t="str">
        <f>IF(D37="Family","Add family members:-","")</f>
        <v/>
      </c>
      <c r="C43" s="39"/>
      <c r="D43" s="21"/>
      <c r="E43" s="40"/>
      <c r="F43" s="1"/>
      <c r="G43" s="33"/>
      <c r="H43" s="37"/>
      <c r="I43" s="33" t="str">
        <f>IF(D44="Yes","Less","")</f>
        <v/>
      </c>
      <c r="J43" s="70">
        <f>IF(D44="Yes",J42-H45,0)</f>
        <v>0</v>
      </c>
      <c r="K43" s="1"/>
      <c r="L43" s="1"/>
      <c r="M43" s="69">
        <f>IF(D44="Yes",J42-J43+K42,0)</f>
        <v>0</v>
      </c>
    </row>
    <row r="44" spans="1:14" x14ac:dyDescent="0.25">
      <c r="A44" s="21"/>
      <c r="B44" s="39" t="s">
        <v>63</v>
      </c>
      <c r="C44" s="39"/>
      <c r="D44" s="73" t="s">
        <v>59</v>
      </c>
      <c r="E44" s="40"/>
      <c r="F44" s="1"/>
      <c r="G44" s="35"/>
      <c r="H44" s="6" t="s">
        <v>60</v>
      </c>
      <c r="I44" s="6" t="s">
        <v>5</v>
      </c>
      <c r="J44" s="6" t="s">
        <v>2</v>
      </c>
      <c r="K44" s="6" t="s">
        <v>0</v>
      </c>
      <c r="L44" s="6" t="s">
        <v>1</v>
      </c>
      <c r="M44" s="6" t="s">
        <v>3</v>
      </c>
    </row>
    <row r="45" spans="1:14" x14ac:dyDescent="0.25">
      <c r="A45" s="21"/>
      <c r="B45" s="21"/>
      <c r="C45" s="21"/>
      <c r="D45" s="21"/>
      <c r="E45" s="40"/>
      <c r="F45" s="1"/>
      <c r="G45" s="33" t="s">
        <v>77</v>
      </c>
      <c r="H45" s="34" t="str">
        <f>IF(D44="Yes",(J42-J42*10%),"")</f>
        <v/>
      </c>
      <c r="I45" s="34">
        <f>IF(D44="No",J42,IF(D44="",J42,0))</f>
        <v>0</v>
      </c>
      <c r="J45" s="35"/>
      <c r="K45" s="35"/>
      <c r="L45" s="35"/>
      <c r="M45" s="35"/>
    </row>
    <row r="46" spans="1:14" x14ac:dyDescent="0.25">
      <c r="A46" s="21"/>
      <c r="B46" s="39" t="s">
        <v>78</v>
      </c>
      <c r="C46" s="21"/>
      <c r="D46" s="43" t="s">
        <v>80</v>
      </c>
      <c r="E46" s="21"/>
      <c r="F46" s="1"/>
      <c r="G46" s="33" t="s">
        <v>86</v>
      </c>
      <c r="H46" s="55"/>
      <c r="I46" s="55">
        <f>IF($G$37="Yes",(SUMIFS($L:$L,$A:$A,"&gt;="&amp;DATE(2021,4,1),$A:$A,"&lt;="&amp;DATE(2021,4,30))*50%),SUMIFS($L:$L,$A:$A,"&gt;="&amp;DATE(2021,4,1),$A:$A,"&lt;="&amp;DATE(2021,4,30)))</f>
        <v>0</v>
      </c>
      <c r="J46" s="55">
        <f>IF($G$37="Yes",(SUMIFS($L:$L,$A:$A,"&gt;="&amp;DATE(2021,5,1),$A:$A,"&lt;="&amp;DATE(2021,5,31))*50%),SUMIFS($L:$L,$A:$A,"&gt;="&amp;DATE(2021,5,1),$A:$A,"&lt;="&amp;DATE(2021,5,31)))</f>
        <v>0</v>
      </c>
      <c r="K46" s="55">
        <f>IF($G$37="Yes",(SUMIFS($L:$L,$A:$A,"&gt;="&amp;DATE(2021,6,1),$A:$A,"&lt;="&amp;DATE(2021,6,30))*50%),SUMIFS($L:$L,$A:$A,"&gt;="&amp;DATE(2021,6,1),$A:$A,"&lt;="&amp;DATE(2021,6,30)))</f>
        <v>0</v>
      </c>
      <c r="L46" s="55">
        <f>IF($G$37="Yes",(SUMIFS($L:$L,$A:$A,"&gt;="&amp;DATE(2021,7,1),$A:$A,"&lt;="&amp;DATE(2021,7,31))*50%),SUMIFS($L:$L,$A:$A,"&gt;="&amp;DATE(2021,7,1),$A:$A,"&lt;="&amp;DATE(2021,7,31)))</f>
        <v>0</v>
      </c>
      <c r="M46" s="55">
        <f>IF($G$37="Yes",(SUMIFS($L:$L,$A:$A,"&gt;="&amp;DATE(2021,8,1),$A:$A,"&lt;="&amp;DATE(2021,8,31))*50%),SUMIFS($L:$L,$A:$A,"&gt;="&amp;DATE(2021,8,1),$A:$A,"&lt;="&amp;DATE(2021,8,31)))</f>
        <v>0</v>
      </c>
      <c r="N46" s="20"/>
    </row>
    <row r="47" spans="1:14" x14ac:dyDescent="0.25">
      <c r="D47" s="43" t="s">
        <v>79</v>
      </c>
      <c r="G47" s="33" t="s">
        <v>87</v>
      </c>
      <c r="H47" s="60"/>
      <c r="I47" s="60" t="str">
        <f>IF($E$38="","",IF($G$38="Yes",(SUMIFS($L:$L,$A:$A,"&gt;="&amp;DATE(2021,4,1),$A:$A,"&lt;="&amp;DATE(2021,4,30))*50%),SUMIFS($L:$L,$A:$A,"&gt;="&amp;DATE(2021,4,1),$A:$A,"&lt;="&amp;DATE(2021,4,30))))</f>
        <v/>
      </c>
      <c r="J47" s="60" t="str">
        <f>IF($E$38="","",IF($G$38="Yes",(SUMIFS($L:$L,$A:$A,"&gt;="&amp;DATE(2021,5,1),$A:$A,"&lt;="&amp;DATE(2021,5,31))*50%),SUMIFS($L:$L,$A:$A,"&gt;="&amp;DATE(2021,5,1),$A:$A,"&lt;="&amp;DATE(2021,5,31))))</f>
        <v/>
      </c>
      <c r="K47" s="60" t="str">
        <f>IF($E$38="","",IF($G$38="Yes",(SUMIFS($L:$L,$A:$A,"&gt;="&amp;DATE(2021,6,1),$A:$A,"&lt;="&amp;DATE(2021,6,30))*50%),SUMIFS($L:$L,$A:$A,"&gt;="&amp;DATE(2021,6,1),$A:$A,"&lt;="&amp;DATE(2021,6,30))))</f>
        <v/>
      </c>
      <c r="L47" s="60" t="str">
        <f>IF($E$38="","",IF($G$38="Yes",(SUMIFS($L:$L,$A:$A,"&gt;="&amp;DATE(2021,7,1),$A:$A,"&lt;="&amp;DATE(2021,7,31))*50%),SUMIFS($L:$L,$A:$A,"&gt;="&amp;DATE(2021,7,1),$A:$A,"&lt;="&amp;DATE(2021,7,31))))</f>
        <v/>
      </c>
      <c r="M47" s="60" t="str">
        <f>IF($E$38="","",IF($G$38="Yes",(SUMIFS($L:$L,$A:$A,"&gt;="&amp;DATE(2021,8,1),$A:$A,"&lt;="&amp;DATE(2021,8,31))*50%),SUMIFS($L:$L,$A:$A,"&gt;="&amp;DATE(2021,8,1),$A:$A,"&lt;="&amp;DATE(2021,8,31))))</f>
        <v/>
      </c>
    </row>
    <row r="48" spans="1:14" x14ac:dyDescent="0.25">
      <c r="D48" s="43" t="s">
        <v>81</v>
      </c>
      <c r="G48" s="33" t="s">
        <v>88</v>
      </c>
      <c r="H48" s="55"/>
      <c r="I48" s="55" t="str">
        <f>IF($E$39="","",IF($G$39="Yes",(SUMIFS($L:$L,$A:$A,"&gt;="&amp;DATE(2021,4,1),$A:$A,"&lt;="&amp;DATE(2021,4,30))*50%),SUMIFS($L:$L,$A:$A,"&gt;="&amp;DATE(2021,4,1),$A:$A,"&lt;="&amp;DATE(2021,4,30))))</f>
        <v/>
      </c>
      <c r="J48" s="55" t="str">
        <f>IF($E$39="","",IF($G$39="Yes",(SUMIFS($L:$L,$A:$A,"&gt;="&amp;DATE(2021,5,1),$A:$A,"&lt;="&amp;DATE(2021,5,31))*50%),SUMIFS($L:$L,$A:$A,"&gt;="&amp;DATE(2021,5,1),$A:$A,"&lt;="&amp;DATE(2021,5,31))))</f>
        <v/>
      </c>
      <c r="K48" s="55" t="str">
        <f>IF($E$39="","",IF($G$39="Yes",(SUMIFS($L:$L,$A:$A,"&gt;="&amp;DATE(2021,6,1),$A:$A,"&lt;="&amp;DATE(2021,6,30))*50%),SUMIFS($L:$L,$A:$A,"&gt;="&amp;DATE(2021,6,1),$A:$A,"&lt;="&amp;DATE(2021,6,30))))</f>
        <v/>
      </c>
      <c r="L48" s="55" t="str">
        <f>IF($E$39="","",IF($G$39="Yes",(SUMIFS($L:$L,$A:$A,"&gt;="&amp;DATE(2021,7,1),$A:$A,"&lt;="&amp;DATE(2021,7,31))*50%),SUMIFS($L:$L,$A:$A,"&gt;="&amp;DATE(2021,7,1),$A:$A,"&lt;="&amp;DATE(2021,7,31))))</f>
        <v/>
      </c>
      <c r="M48" s="55" t="str">
        <f>IF($E$39="","",IF($G$39="Yes",(SUMIFS($L:$L,$A:$A,"&gt;="&amp;DATE(2021,8,1),$A:$A,"&lt;="&amp;DATE(2021,8,31))*50%),SUMIFS($L:$L,$A:$A,"&gt;="&amp;DATE(2021,8,1),$A:$A,"&lt;="&amp;DATE(2021,8,31))))</f>
        <v/>
      </c>
    </row>
    <row r="49" spans="7:13" x14ac:dyDescent="0.25">
      <c r="G49" s="33" t="s">
        <v>89</v>
      </c>
      <c r="H49" s="60"/>
      <c r="I49" s="60" t="str">
        <f>IF($E$40="","",IF($G$40="Yes",(SUMIFS($L:$L,$A:$A,"&gt;="&amp;DATE(2021,4,1),$A:$A,"&lt;="&amp;DATE(2021,4,30))*50%),SUMIFS($L:$L,$A:$A,"&gt;="&amp;DATE(2021,4,1),$A:$A,"&lt;="&amp;DATE(2021,4,30))))</f>
        <v/>
      </c>
      <c r="J49" s="60" t="str">
        <f>IF($E$40="","",IF($G$40="Yes",(SUMIFS($L:$L,$A:$A,"&gt;="&amp;DATE(2021,5,1),$A:$A,"&lt;="&amp;DATE(2021,5,31))*50%),SUMIFS($L:$L,$A:$A,"&gt;="&amp;DATE(2021,5,1),$A:$A,"&lt;="&amp;DATE(2021,5,31))))</f>
        <v/>
      </c>
      <c r="K49" s="60" t="str">
        <f>IF($E$40="","",IF($G$40="Yes",(SUMIFS($L:$L,$A:$A,"&gt;="&amp;DATE(2021,6,1),$A:$A,"&lt;="&amp;DATE(2021,6,30))*50%),SUMIFS($L:$L,$A:$A,"&gt;="&amp;DATE(2021,6,1),$A:$A,"&lt;="&amp;DATE(2021,6,30))))</f>
        <v/>
      </c>
      <c r="L49" s="60" t="str">
        <f>IF($E$40="","",IF($G$40="Yes",(SUMIFS($L:$L,$A:$A,"&gt;="&amp;DATE(2021,7,1),$A:$A,"&lt;="&amp;DATE(2021,7,31))*50%),SUMIFS($L:$L,$A:$A,"&gt;="&amp;DATE(2021,7,1),$A:$A,"&lt;="&amp;DATE(2021,7,31))))</f>
        <v/>
      </c>
      <c r="M49" s="60" t="str">
        <f>IF($E$40="","",IF($G$40="Yes",(SUMIFS($L:$ML,$A:$A,"&gt;="&amp;DATE(2021,8,1),$A:$A,"&lt;="&amp;DATE(2021,8,31))*50%),SUMIFS($L:$L,$A:$A,"&gt;="&amp;DATE(2021,8,1),$A:$A,"&lt;="&amp;DATE(2021,8,31))))</f>
        <v/>
      </c>
    </row>
    <row r="50" spans="7:13" x14ac:dyDescent="0.25">
      <c r="G50" s="66" t="s">
        <v>91</v>
      </c>
      <c r="H50" s="67">
        <f>SUM(H45:H49)</f>
        <v>0</v>
      </c>
      <c r="I50" s="67">
        <f t="shared" ref="I50:M50" si="1">SUM(I45:I49)</f>
        <v>0</v>
      </c>
      <c r="J50" s="67">
        <f t="shared" si="1"/>
        <v>0</v>
      </c>
      <c r="K50" s="67">
        <f t="shared" si="1"/>
        <v>0</v>
      </c>
      <c r="L50" s="67">
        <f t="shared" si="1"/>
        <v>0</v>
      </c>
      <c r="M50" s="67">
        <f t="shared" si="1"/>
        <v>0</v>
      </c>
    </row>
  </sheetData>
  <sheetProtection algorithmName="SHA-512" hashValue="vOYGZH3OjsvallPCcMYj1y6iNHwGLtE5A77Iz4DuSWO8ShukgtDx20rRbz7YPSdqIHLlhh2n2S/cQGXsxr/ktA==" saltValue="LnZmbvx897T+/5S4BmdTKw==" spinCount="100000" sheet="1" selectLockedCells="1"/>
  <sortState xmlns:xlrd2="http://schemas.microsoft.com/office/spreadsheetml/2017/richdata2" ref="A13:M33">
    <sortCondition ref="A13:A33"/>
    <sortCondition ref="D13:D33"/>
  </sortState>
  <mergeCells count="2">
    <mergeCell ref="D42:F42"/>
    <mergeCell ref="A1:M1"/>
  </mergeCells>
  <conditionalFormatting sqref="D37">
    <cfRule type="expression" dxfId="21" priority="26">
      <formula>"D38="""""</formula>
    </cfRule>
  </conditionalFormatting>
  <conditionalFormatting sqref="F37">
    <cfRule type="expression" dxfId="20" priority="4">
      <formula>AND($D$37="",$F$37&lt;&gt;"")</formula>
    </cfRule>
  </conditionalFormatting>
  <conditionalFormatting sqref="F38">
    <cfRule type="expression" dxfId="19" priority="3">
      <formula>AND($D$37="",$F$38&lt;&gt;"")</formula>
    </cfRule>
    <cfRule type="expression" dxfId="18" priority="7">
      <formula>AND($D$37="",$E$38="")</formula>
    </cfRule>
    <cfRule type="expression" dxfId="17" priority="12">
      <formula>AND($D$37="Individual",$F$38&lt;&gt;"")</formula>
    </cfRule>
    <cfRule type="containsBlanks" dxfId="16" priority="23">
      <formula>LEN(TRIM(F38))=0</formula>
    </cfRule>
  </conditionalFormatting>
  <conditionalFormatting sqref="F38:F40">
    <cfRule type="expression" dxfId="15" priority="16">
      <formula>$D$37="Individual"</formula>
    </cfRule>
  </conditionalFormatting>
  <conditionalFormatting sqref="F39">
    <cfRule type="expression" dxfId="14" priority="2">
      <formula>AND($D$37="",$F$39&lt;&gt;"")</formula>
    </cfRule>
    <cfRule type="expression" dxfId="13" priority="6">
      <formula>AND($D$37="",$E$39="")</formula>
    </cfRule>
    <cfRule type="expression" dxfId="12" priority="11">
      <formula>AND($D$37="Individual",$F$39&lt;&gt;"")</formula>
    </cfRule>
    <cfRule type="expression" dxfId="11" priority="13">
      <formula>AND($D$37="1/2 Team",$F$39&lt;&gt;"")</formula>
    </cfRule>
    <cfRule type="expression" dxfId="10" priority="19">
      <formula>$D$37="1/2 Team"</formula>
    </cfRule>
    <cfRule type="containsBlanks" dxfId="9" priority="21">
      <formula>LEN(TRIM(F39))=0</formula>
    </cfRule>
    <cfRule type="expression" dxfId="8" priority="22">
      <formula>$E$39&lt;&gt;""</formula>
    </cfRule>
  </conditionalFormatting>
  <conditionalFormatting sqref="F40">
    <cfRule type="expression" dxfId="7" priority="1">
      <formula>AND($D$37="",$F$40&lt;&gt;"")</formula>
    </cfRule>
    <cfRule type="expression" dxfId="6" priority="5">
      <formula>AND($D$37="",$E$40="")</formula>
    </cfRule>
    <cfRule type="expression" dxfId="5" priority="9">
      <formula>AND($D$37="Individual",$F$40&lt;&gt;"")</formula>
    </cfRule>
    <cfRule type="expression" dxfId="4" priority="10">
      <formula>AND($D$37="1/2 Team",$F$40&lt;&gt;"")</formula>
    </cfRule>
    <cfRule type="expression" dxfId="3" priority="15">
      <formula>AND($D$37="3/4 Team",$F$40&lt;&gt;"")</formula>
    </cfRule>
    <cfRule type="expression" dxfId="2" priority="17">
      <formula>$D$37="1/2 Team"</formula>
    </cfRule>
    <cfRule type="expression" dxfId="1" priority="18">
      <formula>$D$37="3/4 Team"</formula>
    </cfRule>
    <cfRule type="containsBlanks" dxfId="0" priority="20">
      <formula>LEN(TRIM(F40))=0</formula>
    </cfRule>
  </conditionalFormatting>
  <printOptions horizontalCentered="1" verticalCentered="1"/>
  <pageMargins left="0" right="0" top="0" bottom="0" header="0.31496062992125984" footer="0.31496062992125984"/>
  <pageSetup paperSize="9"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687C3EF-E58B-489E-8985-3E34E7C43B6B}">
          <x14:formula1>
            <xm:f>LINK!$A$1:$A$2</xm:f>
          </x14:formula1>
          <xm:sqref>D44 M13:M33 L34</xm:sqref>
        </x14:dataValidation>
        <x14:dataValidation type="list" allowBlank="1" showInputMessage="1" showErrorMessage="1" xr:uid="{340C8838-093D-440F-8647-D2D7565F949C}">
          <x14:formula1>
            <xm:f>LINK!$C$1:$C$10</xm:f>
          </x14:formula1>
          <xm:sqref>F37:F40</xm:sqref>
        </x14:dataValidation>
        <x14:dataValidation type="list" allowBlank="1" showInputMessage="1" showErrorMessage="1" xr:uid="{ADA4E108-2B46-47E0-B8B2-C8F34BE6ACEE}">
          <x14:formula1>
            <xm:f>LINK!$B$1:$B$4</xm:f>
          </x14:formula1>
          <xm:sqref>D37</xm:sqref>
        </x14:dataValidation>
        <x14:dataValidation type="list" allowBlank="1" showInputMessage="1" showErrorMessage="1" xr:uid="{610A1CF9-3853-4CC6-A01C-31797A59E979}">
          <x14:formula1>
            <xm:f>LINK!#REF!</xm:f>
          </x14:formula1>
          <xm:sqref>D41</xm:sqref>
        </x14:dataValidation>
        <x14:dataValidation type="list" allowBlank="1" showInputMessage="1" showErrorMessage="1" errorTitle="Select One Option" xr:uid="{BE298282-77F9-4228-96E0-B9F6EC3186BE}">
          <x14:formula1>
            <xm:f>LINK!$F$1:$F$4</xm:f>
          </x14:formula1>
          <xm:sqref>D42:F42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81F2E-B068-46C6-8223-81B9D55FA926}">
  <dimension ref="A1:G10"/>
  <sheetViews>
    <sheetView workbookViewId="0">
      <selection activeCell="D45" sqref="D45"/>
    </sheetView>
  </sheetViews>
  <sheetFormatPr defaultRowHeight="15" x14ac:dyDescent="0.25"/>
  <cols>
    <col min="1" max="1" width="4" bestFit="1" customWidth="1"/>
    <col min="2" max="2" width="9.85546875" bestFit="1" customWidth="1"/>
    <col min="3" max="3" width="14.85546875" bestFit="1" customWidth="1"/>
    <col min="6" max="6" width="64.7109375" customWidth="1"/>
  </cols>
  <sheetData>
    <row r="1" spans="1:7" x14ac:dyDescent="0.25">
      <c r="A1" t="s">
        <v>58</v>
      </c>
      <c r="B1" t="s">
        <v>62</v>
      </c>
      <c r="C1" t="s">
        <v>65</v>
      </c>
      <c r="D1" s="20">
        <v>0</v>
      </c>
      <c r="E1" t="s">
        <v>59</v>
      </c>
      <c r="F1" t="s">
        <v>76</v>
      </c>
      <c r="G1" s="29"/>
    </row>
    <row r="2" spans="1:7" x14ac:dyDescent="0.25">
      <c r="A2" t="s">
        <v>59</v>
      </c>
      <c r="B2" t="s">
        <v>70</v>
      </c>
      <c r="C2" t="s">
        <v>48</v>
      </c>
      <c r="D2" s="20">
        <v>3600</v>
      </c>
      <c r="E2" t="s">
        <v>58</v>
      </c>
      <c r="F2" t="s">
        <v>74</v>
      </c>
      <c r="G2" s="29"/>
    </row>
    <row r="3" spans="1:7" x14ac:dyDescent="0.25">
      <c r="B3" t="s">
        <v>69</v>
      </c>
      <c r="C3" t="s">
        <v>49</v>
      </c>
      <c r="D3" s="20">
        <v>3000</v>
      </c>
      <c r="E3" t="s">
        <v>58</v>
      </c>
      <c r="F3" t="s">
        <v>75</v>
      </c>
      <c r="G3" s="29"/>
    </row>
    <row r="4" spans="1:7" x14ac:dyDescent="0.25">
      <c r="B4" t="s">
        <v>68</v>
      </c>
      <c r="C4" t="s">
        <v>50</v>
      </c>
      <c r="D4" s="20">
        <v>2300</v>
      </c>
      <c r="E4" t="s">
        <v>58</v>
      </c>
      <c r="F4" t="s">
        <v>83</v>
      </c>
      <c r="G4" s="29"/>
    </row>
    <row r="5" spans="1:7" x14ac:dyDescent="0.25">
      <c r="C5" t="s">
        <v>51</v>
      </c>
      <c r="D5" s="20">
        <v>1750</v>
      </c>
      <c r="E5" t="s">
        <v>58</v>
      </c>
      <c r="G5" s="29"/>
    </row>
    <row r="6" spans="1:7" x14ac:dyDescent="0.25">
      <c r="C6" t="s">
        <v>52</v>
      </c>
      <c r="D6" s="20">
        <v>950</v>
      </c>
      <c r="E6" t="s">
        <v>58</v>
      </c>
    </row>
    <row r="7" spans="1:7" x14ac:dyDescent="0.25">
      <c r="C7" t="s">
        <v>53</v>
      </c>
      <c r="D7" s="20">
        <v>300</v>
      </c>
      <c r="E7" t="s">
        <v>58</v>
      </c>
    </row>
    <row r="8" spans="1:7" x14ac:dyDescent="0.25">
      <c r="C8" t="s">
        <v>54</v>
      </c>
      <c r="D8" s="20">
        <v>1500</v>
      </c>
      <c r="E8" t="s">
        <v>58</v>
      </c>
    </row>
    <row r="9" spans="1:7" x14ac:dyDescent="0.25">
      <c r="C9" t="s">
        <v>55</v>
      </c>
      <c r="D9" s="20">
        <v>1500</v>
      </c>
      <c r="E9" t="s">
        <v>59</v>
      </c>
    </row>
    <row r="10" spans="1:7" x14ac:dyDescent="0.25">
      <c r="C10" t="s">
        <v>56</v>
      </c>
      <c r="D10" s="20">
        <v>500</v>
      </c>
      <c r="E10" t="s">
        <v>59</v>
      </c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15CCCCA0989E44897E8F4B739FA3A3" ma:contentTypeVersion="6" ma:contentTypeDescription="Create a new document." ma:contentTypeScope="" ma:versionID="8e3aa6993265ee6ea2d0e64f03ef3fae">
  <xsd:schema xmlns:xsd="http://www.w3.org/2001/XMLSchema" xmlns:xs="http://www.w3.org/2001/XMLSchema" xmlns:p="http://schemas.microsoft.com/office/2006/metadata/properties" xmlns:ns2="5b8f9abc-3951-4e3b-bb5b-dc20c98c9686" xmlns:ns3="5a43856b-a347-4f79-9c58-777343c60ed0" targetNamespace="http://schemas.microsoft.com/office/2006/metadata/properties" ma:root="true" ma:fieldsID="f0746bd1ab77daad43fbff4d658ced96" ns2:_="" ns3:_="">
    <xsd:import namespace="5b8f9abc-3951-4e3b-bb5b-dc20c98c9686"/>
    <xsd:import namespace="5a43856b-a347-4f79-9c58-777343c60e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f9abc-3951-4e3b-bb5b-dc20c98c96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43856b-a347-4f79-9c58-777343c60ed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84826B-7390-4790-9B90-38EFBADE5F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4089B6-A3E1-4F0C-9F36-DFCDC60BB95A}">
  <ds:schemaRefs>
    <ds:schemaRef ds:uri="5b8f9abc-3951-4e3b-bb5b-dc20c98c9686"/>
    <ds:schemaRef ds:uri="http://schemas.microsoft.com/office/2006/metadata/properties"/>
    <ds:schemaRef ds:uri="5a43856b-a347-4f79-9c58-777343c60ed0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E371228-6D83-44A8-B76A-72A16653E1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8f9abc-3951-4e3b-bb5b-dc20c98c9686"/>
    <ds:schemaRef ds:uri="5a43856b-a347-4f79-9c58-777343c60e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Subs Choice Calc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Mawby</dc:creator>
  <cp:lastModifiedBy>Gary Aitchison</cp:lastModifiedBy>
  <cp:lastPrinted>2021-01-12T17:24:18Z</cp:lastPrinted>
  <dcterms:created xsi:type="dcterms:W3CDTF">2018-10-26T13:56:45Z</dcterms:created>
  <dcterms:modified xsi:type="dcterms:W3CDTF">2021-01-15T14:37:00Z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0x0101009415CCCCA0989E44897E8F4B739FA3A3</vt:lpwstr>
  </property>
</Properties>
</file>